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0320" windowHeight="6540" activeTab="0"/>
  </bookViews>
  <sheets>
    <sheet name="Авто" sheetId="1" r:id="rId1"/>
  </sheets>
  <definedNames>
    <definedName name="avans">'Авто'!$F$3</definedName>
    <definedName name="avans2">#REF!</definedName>
    <definedName name="data">'Авто'!$F$7</definedName>
    <definedName name="data2">#REF!</definedName>
    <definedName name="PROC">'Авто'!$F$6</definedName>
    <definedName name="proc2">#REF!</definedName>
    <definedName name="stoimost">'Авто'!$F$2</definedName>
    <definedName name="stoimost2">#REF!</definedName>
    <definedName name="strok">'Авто'!$F$5</definedName>
    <definedName name="strok2">#REF!</definedName>
    <definedName name="sumkred">'Авто'!$F$4</definedName>
    <definedName name="sumkred2">#REF!</definedName>
    <definedName name="sumproc">'Авто'!#REF!</definedName>
    <definedName name="sumproplat">'Авто'!$F$8</definedName>
    <definedName name="sumproplat2">#REF!</definedName>
    <definedName name="Z_61A07DFC_D147_11D6_B93C_0010B563CE7A_.wvu.Cols" localSheetId="0" hidden="1">'Авто'!$L:$IV</definedName>
    <definedName name="Z_61A07DFC_D147_11D6_B93C_0010B563CE7A_.wvu.PrintArea" localSheetId="0" hidden="1">'Авто'!$A$1:$G$25</definedName>
    <definedName name="Z_61A07DFC_D147_11D6_B93C_0010B563CE7A_.wvu.Rows" localSheetId="0" hidden="1">'Авто'!$26:$65536</definedName>
    <definedName name="_xlnm.Print_Area" localSheetId="0">'Авто'!$A$1:$M$25</definedName>
  </definedNames>
  <calcPr fullCalcOnLoad="1"/>
</workbook>
</file>

<file path=xl/sharedStrings.xml><?xml version="1.0" encoding="utf-8"?>
<sst xmlns="http://schemas.openxmlformats.org/spreadsheetml/2006/main" count="37" uniqueCount="27">
  <si>
    <t>Срок, месяцев</t>
  </si>
  <si>
    <t>Процентная ставка, %</t>
  </si>
  <si>
    <t>Месяц</t>
  </si>
  <si>
    <t>Всего:</t>
  </si>
  <si>
    <t>1 - й год</t>
  </si>
  <si>
    <t>2 - й год</t>
  </si>
  <si>
    <t>3 - й год</t>
  </si>
  <si>
    <t>Дата начала  действия кредитного договора</t>
  </si>
  <si>
    <t>Остаток долга по телу кредита</t>
  </si>
  <si>
    <t>Процент к уплате</t>
  </si>
  <si>
    <t>4 - й год</t>
  </si>
  <si>
    <t>5 - й год</t>
  </si>
  <si>
    <t>6 - й год</t>
  </si>
  <si>
    <t>Автомобиль Вито 109 КА грузовой фургон, об.двиг.2148, 88 л.с.</t>
  </si>
  <si>
    <t>Дополнительные платежи:</t>
  </si>
  <si>
    <t xml:space="preserve">Страховой тариф, % </t>
  </si>
  <si>
    <t>Нотариальное оформление договора залога:</t>
  </si>
  <si>
    <t xml:space="preserve">Госпошлина (0.1%) + услуги нотариуса, грн  </t>
  </si>
  <si>
    <t>Услуги банка:</t>
  </si>
  <si>
    <t>Доллары США</t>
  </si>
  <si>
    <t>ЕВРО</t>
  </si>
  <si>
    <t>За выписку из Государсвенного реестра залогов движемого имущества и проведение регистрации движемого имущества в Государственном реестре залогов движемого имущества</t>
  </si>
  <si>
    <t>Курс НБУ :</t>
  </si>
  <si>
    <t>Комиссии за оформление и ведение, %</t>
  </si>
  <si>
    <t>Итого минимально необходимая сумма для оплаты аванса 
и дополнительных платежей</t>
  </si>
  <si>
    <r>
      <t>Страхование по пакету полное КАСКО: (</t>
    </r>
    <r>
      <rPr>
        <b/>
        <i/>
        <sz val="8"/>
        <rFont val="Courier New"/>
        <family val="3"/>
      </rPr>
      <t>страховой тариф зависит от выбранной СК)</t>
    </r>
  </si>
  <si>
    <t>http://usb.com.ua/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</si>
</sst>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"/>
    <numFmt numFmtId="181" formatCode="#,##0_р_."/>
    <numFmt numFmtId="182" formatCode="mmmm\ yy"/>
    <numFmt numFmtId="183" formatCode="0.0"/>
    <numFmt numFmtId="184" formatCode="0.0%"/>
    <numFmt numFmtId="185" formatCode="#,##0.0"/>
    <numFmt numFmtId="186" formatCode="#,##0.00\ &quot;грн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name val="Arial Cyr"/>
      <family val="2"/>
    </font>
    <font>
      <b/>
      <u val="single"/>
      <sz val="9"/>
      <name val="Courier New"/>
      <family val="3"/>
    </font>
    <font>
      <sz val="10"/>
      <name val="Garamond"/>
      <family val="1"/>
    </font>
    <font>
      <b/>
      <i/>
      <sz val="9"/>
      <color indexed="8"/>
      <name val="Arial Cyr"/>
      <family val="2"/>
    </font>
    <font>
      <b/>
      <i/>
      <sz val="9"/>
      <name val="Garamond"/>
      <family val="1"/>
    </font>
    <font>
      <b/>
      <i/>
      <sz val="11"/>
      <color indexed="12"/>
      <name val="Comic Sans MS"/>
      <family val="4"/>
    </font>
    <font>
      <u val="single"/>
      <sz val="10"/>
      <color indexed="12"/>
      <name val="Comic Sans MS"/>
      <family val="4"/>
    </font>
    <font>
      <b/>
      <sz val="10"/>
      <name val="Courier New"/>
      <family val="3"/>
    </font>
    <font>
      <b/>
      <i/>
      <sz val="8"/>
      <name val="Courier New"/>
      <family val="3"/>
    </font>
    <font>
      <b/>
      <sz val="9"/>
      <color indexed="9"/>
      <name val="Courier New"/>
      <family val="3"/>
    </font>
    <font>
      <b/>
      <i/>
      <sz val="10"/>
      <name val="Courier New"/>
      <family val="3"/>
    </font>
    <font>
      <b/>
      <i/>
      <sz val="9"/>
      <name val="Courier New"/>
      <family val="3"/>
    </font>
    <font>
      <sz val="9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Garamond"/>
      <family val="1"/>
    </font>
    <font>
      <b/>
      <i/>
      <sz val="10"/>
      <name val="Arial Cyr"/>
      <family val="2"/>
    </font>
    <font>
      <b/>
      <i/>
      <sz val="10"/>
      <color indexed="60"/>
      <name val="Arial Cyr"/>
      <family val="2"/>
    </font>
    <font>
      <b/>
      <sz val="10"/>
      <color indexed="12"/>
      <name val="Tahoma"/>
      <family val="2"/>
    </font>
    <font>
      <b/>
      <u val="single"/>
      <sz val="10"/>
      <name val="Times New Roman"/>
      <family val="1"/>
    </font>
    <font>
      <b/>
      <sz val="10"/>
      <color indexed="8"/>
      <name val="Georg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11"/>
      <color indexed="16"/>
      <name val="Courier New"/>
      <family val="3"/>
    </font>
    <font>
      <u val="single"/>
      <sz val="10"/>
      <color indexed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 locked="0"/>
    </xf>
    <xf numFmtId="0" fontId="9" fillId="0" borderId="0" xfId="0" applyFont="1" applyFill="1" applyAlignment="1">
      <alignment/>
    </xf>
    <xf numFmtId="0" fontId="1" fillId="0" borderId="0" xfId="15" applyFill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4" fontId="5" fillId="0" borderId="2" xfId="0" applyNumberFormat="1" applyFont="1" applyFill="1" applyBorder="1" applyAlignment="1" applyProtection="1">
      <alignment/>
      <protection hidden="1"/>
    </xf>
    <xf numFmtId="4" fontId="5" fillId="0" borderId="3" xfId="0" applyNumberFormat="1" applyFont="1" applyFill="1" applyBorder="1" applyAlignment="1" applyProtection="1">
      <alignment/>
      <protection hidden="1"/>
    </xf>
    <xf numFmtId="4" fontId="5" fillId="0" borderId="1" xfId="0" applyNumberFormat="1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4" fontId="5" fillId="0" borderId="2" xfId="0" applyNumberFormat="1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4" fontId="5" fillId="0" borderId="3" xfId="0" applyNumberFormat="1" applyFont="1" applyFill="1" applyBorder="1" applyAlignment="1" applyProtection="1">
      <alignment/>
      <protection hidden="1"/>
    </xf>
    <xf numFmtId="0" fontId="10" fillId="0" borderId="5" xfId="0" applyFont="1" applyFill="1" applyBorder="1" applyAlignment="1" applyProtection="1">
      <alignment vertical="top"/>
      <protection hidden="1"/>
    </xf>
    <xf numFmtId="180" fontId="5" fillId="0" borderId="6" xfId="0" applyNumberFormat="1" applyFont="1" applyFill="1" applyBorder="1" applyAlignment="1" applyProtection="1">
      <alignment horizontal="left" shrinkToFit="1"/>
      <protection hidden="1"/>
    </xf>
    <xf numFmtId="180" fontId="5" fillId="0" borderId="7" xfId="0" applyNumberFormat="1" applyFont="1" applyFill="1" applyBorder="1" applyAlignment="1" applyProtection="1">
      <alignment horizontal="left" shrinkToFit="1"/>
      <protection hidden="1"/>
    </xf>
    <xf numFmtId="180" fontId="5" fillId="0" borderId="8" xfId="0" applyNumberFormat="1" applyFont="1" applyFill="1" applyBorder="1" applyAlignment="1" applyProtection="1">
      <alignment horizontal="left" shrinkToFit="1"/>
      <protection hidden="1"/>
    </xf>
    <xf numFmtId="4" fontId="5" fillId="0" borderId="9" xfId="0" applyNumberFormat="1" applyFont="1" applyFill="1" applyBorder="1" applyAlignment="1" applyProtection="1">
      <alignment shrinkToFit="1"/>
      <protection hidden="1"/>
    </xf>
    <xf numFmtId="4" fontId="5" fillId="0" borderId="10" xfId="0" applyNumberFormat="1" applyFont="1" applyFill="1" applyBorder="1" applyAlignment="1" applyProtection="1">
      <alignment shrinkToFit="1"/>
      <protection hidden="1"/>
    </xf>
    <xf numFmtId="4" fontId="5" fillId="0" borderId="11" xfId="0" applyNumberFormat="1" applyFont="1" applyFill="1" applyBorder="1" applyAlignment="1" applyProtection="1">
      <alignment shrinkToFit="1"/>
      <protection hidden="1"/>
    </xf>
    <xf numFmtId="4" fontId="5" fillId="0" borderId="12" xfId="0" applyNumberFormat="1" applyFont="1" applyFill="1" applyBorder="1" applyAlignment="1" applyProtection="1">
      <alignment shrinkToFit="1"/>
      <protection hidden="1"/>
    </xf>
    <xf numFmtId="4" fontId="5" fillId="0" borderId="13" xfId="0" applyNumberFormat="1" applyFont="1" applyFill="1" applyBorder="1" applyAlignment="1" applyProtection="1">
      <alignment shrinkToFit="1"/>
      <protection hidden="1"/>
    </xf>
    <xf numFmtId="4" fontId="5" fillId="0" borderId="14" xfId="0" applyNumberFormat="1" applyFont="1" applyFill="1" applyBorder="1" applyAlignment="1" applyProtection="1">
      <alignment shrinkToFit="1"/>
      <protection hidden="1"/>
    </xf>
    <xf numFmtId="4" fontId="5" fillId="0" borderId="15" xfId="0" applyNumberFormat="1" applyFont="1" applyFill="1" applyBorder="1" applyAlignment="1" applyProtection="1">
      <alignment shrinkToFit="1"/>
      <protection hidden="1"/>
    </xf>
    <xf numFmtId="4" fontId="5" fillId="0" borderId="16" xfId="0" applyNumberFormat="1" applyFont="1" applyFill="1" applyBorder="1" applyAlignment="1" applyProtection="1">
      <alignment shrinkToFit="1"/>
      <protection hidden="1"/>
    </xf>
    <xf numFmtId="4" fontId="5" fillId="0" borderId="17" xfId="0" applyNumberFormat="1" applyFont="1" applyFill="1" applyBorder="1" applyAlignment="1" applyProtection="1">
      <alignment shrinkToFit="1"/>
      <protection hidden="1"/>
    </xf>
    <xf numFmtId="4" fontId="5" fillId="0" borderId="18" xfId="0" applyNumberFormat="1" applyFont="1" applyFill="1" applyBorder="1" applyAlignment="1" applyProtection="1">
      <alignment shrinkToFit="1"/>
      <protection hidden="1"/>
    </xf>
    <xf numFmtId="4" fontId="5" fillId="0" borderId="19" xfId="0" applyNumberFormat="1" applyFont="1" applyFill="1" applyBorder="1" applyAlignment="1" applyProtection="1">
      <alignment shrinkToFit="1"/>
      <protection hidden="1"/>
    </xf>
    <xf numFmtId="4" fontId="5" fillId="0" borderId="20" xfId="0" applyNumberFormat="1" applyFont="1" applyFill="1" applyBorder="1" applyAlignment="1" applyProtection="1">
      <alignment shrinkToFit="1"/>
      <protection hidden="1"/>
    </xf>
    <xf numFmtId="0" fontId="7" fillId="0" borderId="17" xfId="0" applyFont="1" applyFill="1" applyBorder="1" applyAlignment="1" applyProtection="1">
      <alignment horizontal="center" vertical="center" wrapText="1" shrinkToFit="1"/>
      <protection hidden="1"/>
    </xf>
    <xf numFmtId="0" fontId="7" fillId="0" borderId="18" xfId="0" applyFont="1" applyFill="1" applyBorder="1" applyAlignment="1" applyProtection="1">
      <alignment horizontal="center" vertical="center" wrapText="1" shrinkToFit="1"/>
      <protection hidden="1"/>
    </xf>
    <xf numFmtId="0" fontId="7" fillId="0" borderId="19" xfId="0" applyFont="1" applyFill="1" applyBorder="1" applyAlignment="1" applyProtection="1">
      <alignment horizontal="center" vertical="center" wrapText="1" shrinkToFit="1"/>
      <protection hidden="1"/>
    </xf>
    <xf numFmtId="0" fontId="7" fillId="0" borderId="2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ill="1" applyAlignment="1" applyProtection="1">
      <alignment/>
      <protection hidden="1"/>
    </xf>
    <xf numFmtId="2" fontId="13" fillId="0" borderId="21" xfId="0" applyNumberFormat="1" applyFont="1" applyFill="1" applyBorder="1" applyAlignment="1" applyProtection="1">
      <alignment horizontal="left"/>
      <protection hidden="1" locked="0"/>
    </xf>
    <xf numFmtId="0" fontId="1" fillId="0" borderId="0" xfId="15" applyFill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 wrapText="1" shrinkToFit="1"/>
      <protection hidden="1"/>
    </xf>
    <xf numFmtId="0" fontId="12" fillId="0" borderId="21" xfId="15" applyFont="1" applyFill="1" applyBorder="1" applyAlignment="1" applyProtection="1">
      <alignment/>
      <protection hidden="1"/>
    </xf>
    <xf numFmtId="49" fontId="14" fillId="0" borderId="21" xfId="15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 locked="0"/>
    </xf>
    <xf numFmtId="0" fontId="19" fillId="0" borderId="23" xfId="0" applyFont="1" applyBorder="1" applyAlignment="1" applyProtection="1">
      <alignment horizontal="left"/>
      <protection hidden="1"/>
    </xf>
    <xf numFmtId="0" fontId="20" fillId="0" borderId="23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4" fontId="21" fillId="0" borderId="0" xfId="0" applyNumberFormat="1" applyFont="1" applyFill="1" applyBorder="1" applyAlignment="1" applyProtection="1">
      <alignment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4" fontId="21" fillId="0" borderId="0" xfId="0" applyNumberFormat="1" applyFont="1" applyFill="1" applyBorder="1" applyAlignment="1" applyProtection="1">
      <alignment horizontal="center" vertical="center"/>
      <protection hidden="1"/>
    </xf>
    <xf numFmtId="4" fontId="24" fillId="0" borderId="0" xfId="0" applyNumberFormat="1" applyFont="1" applyFill="1" applyBorder="1" applyAlignment="1" applyProtection="1">
      <alignment horizontal="center"/>
      <protection hidden="1"/>
    </xf>
    <xf numFmtId="2" fontId="21" fillId="0" borderId="27" xfId="0" applyNumberFormat="1" applyFont="1" applyFill="1" applyBorder="1" applyAlignment="1" applyProtection="1">
      <alignment horizontal="center"/>
      <protection hidden="1"/>
    </xf>
    <xf numFmtId="2" fontId="21" fillId="0" borderId="25" xfId="0" applyNumberFormat="1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2" fontId="21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49" fontId="26" fillId="0" borderId="0" xfId="0" applyNumberFormat="1" applyFont="1" applyAlignment="1" applyProtection="1">
      <alignment horizontal="left"/>
      <protection locked="0"/>
    </xf>
    <xf numFmtId="0" fontId="30" fillId="0" borderId="29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4" fontId="31" fillId="0" borderId="30" xfId="0" applyNumberFormat="1" applyFont="1" applyBorder="1" applyAlignment="1" applyProtection="1">
      <alignment horizontal="left"/>
      <protection locked="0"/>
    </xf>
    <xf numFmtId="14" fontId="31" fillId="0" borderId="31" xfId="0" applyNumberFormat="1" applyFont="1" applyBorder="1" applyAlignment="1" applyProtection="1">
      <alignment horizontal="left"/>
      <protection locked="0"/>
    </xf>
    <xf numFmtId="4" fontId="32" fillId="0" borderId="0" xfId="0" applyNumberFormat="1" applyFont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3" fillId="2" borderId="32" xfId="0" applyFont="1" applyFill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0" fontId="23" fillId="2" borderId="33" xfId="0" applyFont="1" applyFill="1" applyBorder="1" applyAlignment="1" applyProtection="1">
      <alignment horizontal="center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5" fillId="0" borderId="35" xfId="0" applyFont="1" applyBorder="1" applyAlignment="1" applyProtection="1">
      <alignment horizontal="left" wrapText="1"/>
      <protection hidden="1"/>
    </xf>
    <xf numFmtId="191" fontId="31" fillId="2" borderId="36" xfId="0" applyNumberFormat="1" applyFont="1" applyFill="1" applyBorder="1" applyAlignment="1" applyProtection="1">
      <alignment horizontal="center" wrapText="1"/>
      <protection locked="0"/>
    </xf>
    <xf numFmtId="191" fontId="31" fillId="2" borderId="24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15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4" fontId="22" fillId="0" borderId="0" xfId="0" applyNumberFormat="1" applyFont="1" applyAlignment="1" applyProtection="1">
      <alignment horizontal="center" wrapText="1"/>
      <protection locked="0"/>
    </xf>
    <xf numFmtId="14" fontId="30" fillId="0" borderId="23" xfId="0" applyNumberFormat="1" applyFont="1" applyBorder="1" applyAlignment="1" applyProtection="1">
      <alignment horizontal="left"/>
      <protection locked="0"/>
    </xf>
    <xf numFmtId="0" fontId="30" fillId="0" borderId="23" xfId="0" applyFont="1" applyBorder="1" applyAlignment="1" applyProtection="1">
      <alignment horizontal="left"/>
      <protection locked="0"/>
    </xf>
    <xf numFmtId="14" fontId="31" fillId="0" borderId="37" xfId="0" applyNumberFormat="1" applyFont="1" applyBorder="1" applyAlignment="1" applyProtection="1">
      <alignment horizontal="left"/>
      <protection locked="0"/>
    </xf>
    <xf numFmtId="14" fontId="31" fillId="0" borderId="38" xfId="0" applyNumberFormat="1" applyFont="1" applyBorder="1" applyAlignment="1" applyProtection="1">
      <alignment horizontal="left"/>
      <protection locked="0"/>
    </xf>
    <xf numFmtId="186" fontId="25" fillId="3" borderId="0" xfId="0" applyNumberFormat="1" applyFont="1" applyFill="1" applyAlignment="1" applyProtection="1">
      <alignment horizontal="center" vertical="center"/>
      <protection hidden="1"/>
    </xf>
    <xf numFmtId="49" fontId="27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19" fillId="0" borderId="23" xfId="0" applyFont="1" applyBorder="1" applyAlignment="1" applyProtection="1">
      <alignment horizontal="left"/>
      <protection hidden="1"/>
    </xf>
    <xf numFmtId="186" fontId="5" fillId="0" borderId="39" xfId="0" applyNumberFormat="1" applyFont="1" applyBorder="1" applyAlignment="1" applyProtection="1">
      <alignment horizontal="center" vertical="center"/>
      <protection hidden="1"/>
    </xf>
    <xf numFmtId="186" fontId="5" fillId="0" borderId="40" xfId="0" applyNumberFormat="1" applyFont="1" applyBorder="1" applyAlignment="1" applyProtection="1">
      <alignment horizontal="center" vertical="center"/>
      <protection hidden="1"/>
    </xf>
    <xf numFmtId="186" fontId="5" fillId="0" borderId="41" xfId="0" applyNumberFormat="1" applyFont="1" applyBorder="1" applyAlignment="1" applyProtection="1">
      <alignment horizontal="center" vertical="center"/>
      <protection hidden="1"/>
    </xf>
    <xf numFmtId="186" fontId="5" fillId="0" borderId="42" xfId="0" applyNumberFormat="1" applyFont="1" applyBorder="1" applyAlignment="1" applyProtection="1">
      <alignment horizontal="center" vertical="center"/>
      <protection hidden="1"/>
    </xf>
    <xf numFmtId="0" fontId="22" fillId="0" borderId="34" xfId="0" applyFont="1" applyBorder="1" applyAlignment="1" applyProtection="1">
      <alignment horizontal="left" wrapText="1"/>
      <protection hidden="1"/>
    </xf>
    <xf numFmtId="0" fontId="22" fillId="0" borderId="26" xfId="0" applyFont="1" applyBorder="1" applyAlignment="1" applyProtection="1">
      <alignment horizontal="left"/>
      <protection hidden="1"/>
    </xf>
    <xf numFmtId="0" fontId="22" fillId="0" borderId="35" xfId="0" applyFont="1" applyBorder="1" applyAlignment="1" applyProtection="1">
      <alignment horizontal="left"/>
      <protection hidden="1"/>
    </xf>
    <xf numFmtId="0" fontId="22" fillId="0" borderId="43" xfId="0" applyFont="1" applyBorder="1" applyAlignment="1" applyProtection="1">
      <alignment horizontal="left"/>
      <protection hidden="1"/>
    </xf>
    <xf numFmtId="0" fontId="22" fillId="0" borderId="44" xfId="0" applyFont="1" applyBorder="1" applyAlignment="1" applyProtection="1">
      <alignment horizontal="left"/>
      <protection hidden="1"/>
    </xf>
    <xf numFmtId="191" fontId="25" fillId="3" borderId="0" xfId="0" applyNumberFormat="1" applyFont="1" applyFill="1" applyAlignment="1" applyProtection="1">
      <alignment horizontal="left" wrapText="1"/>
      <protection hidden="1"/>
    </xf>
    <xf numFmtId="191" fontId="25" fillId="3" borderId="0" xfId="0" applyNumberFormat="1" applyFont="1" applyFill="1" applyAlignment="1" applyProtection="1">
      <alignment horizontal="left"/>
      <protection hidden="1"/>
    </xf>
    <xf numFmtId="4" fontId="24" fillId="0" borderId="0" xfId="0" applyNumberFormat="1" applyFont="1" applyFill="1" applyBorder="1" applyAlignment="1" applyProtection="1">
      <alignment horizontal="center" vertical="center"/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wrapText="1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0" fontId="5" fillId="0" borderId="44" xfId="0" applyFont="1" applyBorder="1" applyAlignment="1" applyProtection="1">
      <alignment horizontal="left" wrapText="1"/>
      <protection hidden="1"/>
    </xf>
    <xf numFmtId="186" fontId="5" fillId="0" borderId="45" xfId="0" applyNumberFormat="1" applyFont="1" applyBorder="1" applyAlignment="1" applyProtection="1">
      <alignment horizontal="center" vertical="center"/>
      <protection hidden="1"/>
    </xf>
    <xf numFmtId="186" fontId="5" fillId="0" borderId="35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shrinkToFit="1"/>
      <protection hidden="1"/>
    </xf>
    <xf numFmtId="0" fontId="22" fillId="0" borderId="44" xfId="0" applyFont="1" applyBorder="1" applyAlignment="1" applyProtection="1">
      <alignment horizontal="left" wrapText="1"/>
      <protection hidden="1"/>
    </xf>
    <xf numFmtId="186" fontId="5" fillId="0" borderId="26" xfId="0" applyNumberFormat="1" applyFont="1" applyBorder="1" applyAlignment="1" applyProtection="1">
      <alignment horizontal="center" vertical="center"/>
      <protection hidden="1"/>
    </xf>
    <xf numFmtId="4" fontId="11" fillId="2" borderId="46" xfId="0" applyNumberFormat="1" applyFont="1" applyFill="1" applyBorder="1" applyAlignment="1" applyProtection="1">
      <alignment horizontal="right"/>
      <protection locked="0"/>
    </xf>
    <xf numFmtId="0" fontId="11" fillId="0" borderId="21" xfId="0" applyFont="1" applyFill="1" applyBorder="1" applyAlignment="1" applyProtection="1">
      <alignment horizontal="left" shrinkToFit="1"/>
      <protection hidden="1"/>
    </xf>
    <xf numFmtId="4" fontId="11" fillId="2" borderId="46" xfId="0" applyNumberFormat="1" applyFont="1" applyFill="1" applyBorder="1" applyAlignment="1" applyProtection="1">
      <alignment horizontal="right"/>
      <protection hidden="1"/>
    </xf>
    <xf numFmtId="2" fontId="11" fillId="2" borderId="21" xfId="0" applyNumberFormat="1" applyFont="1" applyFill="1" applyBorder="1" applyAlignment="1" applyProtection="1">
      <alignment horizontal="right"/>
      <protection locked="0"/>
    </xf>
    <xf numFmtId="14" fontId="11" fillId="2" borderId="21" xfId="0" applyNumberFormat="1" applyFont="1" applyFill="1" applyBorder="1" applyAlignment="1" applyProtection="1">
      <alignment horizontal="right"/>
      <protection locked="0"/>
    </xf>
    <xf numFmtId="0" fontId="11" fillId="0" borderId="21" xfId="0" applyFont="1" applyFill="1" applyBorder="1" applyAlignment="1" applyProtection="1">
      <alignment horizontal="left"/>
      <protection hidden="1"/>
    </xf>
    <xf numFmtId="0" fontId="11" fillId="0" borderId="46" xfId="0" applyFont="1" applyFill="1" applyBorder="1" applyAlignment="1" applyProtection="1">
      <alignment horizontal="left" shrinkToFit="1"/>
      <protection hidden="1"/>
    </xf>
    <xf numFmtId="1" fontId="11" fillId="2" borderId="21" xfId="0" applyNumberFormat="1" applyFont="1" applyFill="1" applyBorder="1" applyAlignment="1" applyProtection="1" quotePrefix="1">
      <alignment horizontal="right"/>
      <protection locked="0"/>
    </xf>
    <xf numFmtId="0" fontId="6" fillId="0" borderId="47" xfId="0" applyFont="1" applyFill="1" applyBorder="1" applyAlignment="1" applyProtection="1">
      <alignment horizontal="center" vertical="center" textRotation="45"/>
      <protection hidden="1"/>
    </xf>
    <xf numFmtId="0" fontId="6" fillId="0" borderId="48" xfId="0" applyFont="1" applyFill="1" applyBorder="1" applyAlignment="1" applyProtection="1">
      <alignment horizontal="center" vertical="center" textRotation="45"/>
      <protection hidden="1"/>
    </xf>
    <xf numFmtId="4" fontId="11" fillId="2" borderId="21" xfId="0" applyNumberFormat="1" applyFont="1" applyFill="1" applyBorder="1" applyAlignment="1" applyProtection="1">
      <alignment horizontal="right"/>
      <protection hidden="1"/>
    </xf>
    <xf numFmtId="0" fontId="10" fillId="0" borderId="49" xfId="0" applyFont="1" applyFill="1" applyBorder="1" applyAlignment="1" applyProtection="1">
      <alignment horizontal="center" vertical="center" wrapText="1"/>
      <protection hidden="1"/>
    </xf>
    <xf numFmtId="0" fontId="10" fillId="0" borderId="50" xfId="0" applyFont="1" applyFill="1" applyBorder="1" applyAlignment="1" applyProtection="1">
      <alignment horizontal="center" vertical="center" wrapText="1"/>
      <protection hidden="1"/>
    </xf>
    <xf numFmtId="0" fontId="10" fillId="0" borderId="51" xfId="0" applyFont="1" applyFill="1" applyBorder="1" applyAlignment="1" applyProtection="1">
      <alignment horizontal="center" vertical="center" wrapText="1"/>
      <protection hidden="1"/>
    </xf>
    <xf numFmtId="0" fontId="10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0" xfId="15" applyAlignment="1" applyProtection="1">
      <alignment horizontal="center" vertical="center"/>
      <protection hidden="1"/>
    </xf>
    <xf numFmtId="0" fontId="15" fillId="0" borderId="0" xfId="15" applyFont="1" applyAlignment="1" applyProtection="1">
      <alignment horizontal="center" vertical="center"/>
      <protection hidden="1"/>
    </xf>
    <xf numFmtId="0" fontId="34" fillId="0" borderId="0" xfId="15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57150</xdr:rowOff>
    </xdr:from>
    <xdr:to>
      <xdr:col>0</xdr:col>
      <xdr:colOff>0</xdr:colOff>
      <xdr:row>58</xdr:row>
      <xdr:rowOff>47625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</xdr:row>
      <xdr:rowOff>19050</xdr:rowOff>
    </xdr:from>
    <xdr:to>
      <xdr:col>11</xdr:col>
      <xdr:colOff>695325</xdr:colOff>
      <xdr:row>2</xdr:row>
      <xdr:rowOff>19050</xdr:rowOff>
    </xdr:to>
    <xdr:sp>
      <xdr:nvSpPr>
        <xdr:cNvPr id="2" name="Line 37"/>
        <xdr:cNvSpPr>
          <a:spLocks/>
        </xdr:cNvSpPr>
      </xdr:nvSpPr>
      <xdr:spPr>
        <a:xfrm>
          <a:off x="4876800" y="381000"/>
          <a:ext cx="2552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76200</xdr:rowOff>
    </xdr:from>
    <xdr:to>
      <xdr:col>7</xdr:col>
      <xdr:colOff>104775</xdr:colOff>
      <xdr:row>5</xdr:row>
      <xdr:rowOff>161925</xdr:rowOff>
    </xdr:to>
    <xdr:sp>
      <xdr:nvSpPr>
        <xdr:cNvPr id="3" name="Line 41"/>
        <xdr:cNvSpPr>
          <a:spLocks/>
        </xdr:cNvSpPr>
      </xdr:nvSpPr>
      <xdr:spPr>
        <a:xfrm>
          <a:off x="4619625" y="438150"/>
          <a:ext cx="0" cy="571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b.com.ua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0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40" sqref="A40:G40"/>
    </sheetView>
  </sheetViews>
  <sheetFormatPr defaultColWidth="9.00390625" defaultRowHeight="12.75" zeroHeight="1"/>
  <cols>
    <col min="1" max="1" width="7.625" style="0" customWidth="1"/>
    <col min="2" max="3" width="9.00390625" style="0" customWidth="1"/>
    <col min="4" max="4" width="8.625" style="0" customWidth="1"/>
    <col min="5" max="6" width="9.00390625" style="0" customWidth="1"/>
    <col min="7" max="7" width="7.00390625" style="8" customWidth="1"/>
    <col min="8" max="9" width="9.00390625" style="8" customWidth="1"/>
    <col min="10" max="10" width="11.25390625" style="8" customWidth="1"/>
    <col min="11" max="11" width="9.00390625" style="1" customWidth="1"/>
    <col min="12" max="12" width="9.125" style="0" hidden="1" customWidth="1"/>
    <col min="13" max="13" width="8.875" style="0" hidden="1" customWidth="1"/>
  </cols>
  <sheetData>
    <row r="1" spans="1:12" ht="15.75" customHeight="1">
      <c r="A1" s="42" t="s">
        <v>13</v>
      </c>
      <c r="B1" s="42"/>
      <c r="C1" s="43"/>
      <c r="D1" s="43"/>
      <c r="E1" s="43"/>
      <c r="F1" s="43"/>
      <c r="G1" s="43"/>
      <c r="H1" s="6"/>
      <c r="I1" s="6"/>
      <c r="J1" s="6"/>
      <c r="K1" s="38"/>
      <c r="L1" s="1"/>
    </row>
    <row r="2" spans="1:14" ht="12.75" customHeight="1">
      <c r="A2" s="124" t="str">
        <f>CONCATENATE("Стоимость автомобиля, ",I9)</f>
        <v>Стоимость автомобиля, (евро)</v>
      </c>
      <c r="B2" s="124"/>
      <c r="C2" s="124"/>
      <c r="D2" s="124"/>
      <c r="E2" s="124"/>
      <c r="F2" s="118">
        <v>42000</v>
      </c>
      <c r="G2" s="118"/>
      <c r="H2" s="40"/>
      <c r="I2" s="40"/>
      <c r="J2" s="40"/>
      <c r="K2" s="40"/>
      <c r="L2" s="1"/>
      <c r="M2" s="1"/>
      <c r="N2" s="1"/>
    </row>
    <row r="3" spans="1:14" ht="12.75" customHeight="1">
      <c r="A3" s="123" t="str">
        <f>CONCATENATE("Сумма аванса, ",I9)</f>
        <v>Сумма аванса, (евро)</v>
      </c>
      <c r="B3" s="123"/>
      <c r="C3" s="123"/>
      <c r="D3" s="123"/>
      <c r="E3" s="39">
        <v>10</v>
      </c>
      <c r="F3" s="120">
        <f>stoimost*E3/100</f>
        <v>4200</v>
      </c>
      <c r="G3" s="120"/>
      <c r="H3" s="133"/>
      <c r="I3" s="134"/>
      <c r="J3" s="134"/>
      <c r="K3" s="134"/>
      <c r="L3" s="5"/>
      <c r="M3" s="1"/>
      <c r="N3" s="1"/>
    </row>
    <row r="4" spans="1:14" ht="12.75" customHeight="1">
      <c r="A4" s="123" t="str">
        <f>CONCATENATE("Сумма кредита, ",I9)</f>
        <v>Сумма кредита, (евро)</v>
      </c>
      <c r="B4" s="123"/>
      <c r="C4" s="123"/>
      <c r="D4" s="123"/>
      <c r="E4" s="39">
        <f>sumkred/stoimost*100</f>
        <v>90</v>
      </c>
      <c r="F4" s="120">
        <f>stoimost-avans</f>
        <v>37800</v>
      </c>
      <c r="G4" s="120"/>
      <c r="H4" s="135" t="s">
        <v>26</v>
      </c>
      <c r="I4" s="136"/>
      <c r="J4" s="136"/>
      <c r="K4" s="136"/>
      <c r="L4" s="5"/>
      <c r="M4" s="1"/>
      <c r="N4" s="1"/>
    </row>
    <row r="5" spans="1:14" ht="12.75" customHeight="1">
      <c r="A5" s="119" t="s">
        <v>0</v>
      </c>
      <c r="B5" s="119"/>
      <c r="C5" s="119"/>
      <c r="D5" s="119"/>
      <c r="E5" s="119"/>
      <c r="F5" s="125">
        <v>60</v>
      </c>
      <c r="G5" s="125"/>
      <c r="H5" s="136"/>
      <c r="I5" s="136"/>
      <c r="J5" s="136"/>
      <c r="K5" s="136"/>
      <c r="L5" s="1"/>
      <c r="M5" s="1"/>
      <c r="N5" s="1"/>
    </row>
    <row r="6" spans="1:14" ht="12.75" customHeight="1">
      <c r="A6" s="119" t="s">
        <v>1</v>
      </c>
      <c r="B6" s="119"/>
      <c r="C6" s="119"/>
      <c r="D6" s="119"/>
      <c r="E6" s="119"/>
      <c r="F6" s="121">
        <v>11</v>
      </c>
      <c r="G6" s="121"/>
      <c r="H6" s="133"/>
      <c r="I6" s="133"/>
      <c r="J6" s="133"/>
      <c r="K6" s="133"/>
      <c r="L6" s="1"/>
      <c r="M6" s="1"/>
      <c r="N6" s="1"/>
    </row>
    <row r="7" spans="1:14" ht="12.75" customHeight="1">
      <c r="A7" s="119" t="s">
        <v>7</v>
      </c>
      <c r="B7" s="119"/>
      <c r="C7" s="119"/>
      <c r="D7" s="119"/>
      <c r="E7" s="119"/>
      <c r="F7" s="122">
        <v>38819</v>
      </c>
      <c r="G7" s="122"/>
      <c r="H7" s="10"/>
      <c r="I7" s="10"/>
      <c r="J7" s="10"/>
      <c r="K7" s="38"/>
      <c r="L7" s="1"/>
      <c r="M7" s="1"/>
      <c r="N7" s="1"/>
    </row>
    <row r="8" spans="1:14" ht="12.75" customHeight="1">
      <c r="A8" s="119" t="str">
        <f>CONCATENATE("Среднемесячный взнос по кредиту, ",I9)</f>
        <v>Среднемесячный взнос по кредиту, (евро)</v>
      </c>
      <c r="B8" s="119"/>
      <c r="C8" s="119"/>
      <c r="D8" s="119"/>
      <c r="E8" s="119"/>
      <c r="F8" s="128">
        <f>sumkred/strok</f>
        <v>630</v>
      </c>
      <c r="G8" s="128"/>
      <c r="H8" s="9"/>
      <c r="I8" s="9"/>
      <c r="J8" s="9"/>
      <c r="K8" s="9"/>
      <c r="L8" s="1"/>
      <c r="M8" s="1"/>
      <c r="N8" s="1"/>
    </row>
    <row r="9" spans="1:12" ht="13.5" thickBot="1">
      <c r="A9" s="4">
        <v>3</v>
      </c>
      <c r="B9" s="1"/>
      <c r="C9" s="1"/>
      <c r="D9" s="1"/>
      <c r="E9" s="1"/>
      <c r="G9" s="7"/>
      <c r="H9" s="7"/>
      <c r="I9" s="137" t="str">
        <f>IF(A9=1,"(долларов США)",IF(A9=2,"(гривна)","(евро)"))</f>
        <v>(евро)</v>
      </c>
      <c r="J9" s="137"/>
      <c r="K9" s="137"/>
      <c r="L9" s="1"/>
    </row>
    <row r="10" spans="1:13" ht="12.75" customHeight="1">
      <c r="A10" s="126" t="s">
        <v>2</v>
      </c>
      <c r="B10" s="129" t="s">
        <v>4</v>
      </c>
      <c r="C10" s="130"/>
      <c r="D10" s="131" t="s">
        <v>5</v>
      </c>
      <c r="E10" s="132"/>
      <c r="F10" s="129" t="s">
        <v>6</v>
      </c>
      <c r="G10" s="130"/>
      <c r="H10" s="131" t="s">
        <v>10</v>
      </c>
      <c r="I10" s="132"/>
      <c r="J10" s="129" t="s">
        <v>11</v>
      </c>
      <c r="K10" s="130"/>
      <c r="L10" s="129" t="s">
        <v>12</v>
      </c>
      <c r="M10" s="130"/>
    </row>
    <row r="11" spans="1:13" ht="33" customHeight="1" thickBot="1">
      <c r="A11" s="127"/>
      <c r="B11" s="34" t="s">
        <v>8</v>
      </c>
      <c r="C11" s="35" t="s">
        <v>9</v>
      </c>
      <c r="D11" s="36" t="s">
        <v>8</v>
      </c>
      <c r="E11" s="37" t="s">
        <v>9</v>
      </c>
      <c r="F11" s="34" t="s">
        <v>8</v>
      </c>
      <c r="G11" s="35" t="s">
        <v>9</v>
      </c>
      <c r="H11" s="36" t="s">
        <v>8</v>
      </c>
      <c r="I11" s="37" t="s">
        <v>9</v>
      </c>
      <c r="J11" s="34" t="s">
        <v>8</v>
      </c>
      <c r="K11" s="35" t="s">
        <v>9</v>
      </c>
      <c r="L11" s="41" t="s">
        <v>8</v>
      </c>
      <c r="M11" s="35" t="s">
        <v>9</v>
      </c>
    </row>
    <row r="12" spans="1:13" ht="13.5" thickTop="1">
      <c r="A12" s="19">
        <f>DATE(YEAR(data),MONTH(data),DAY(data))</f>
        <v>38819</v>
      </c>
      <c r="B12" s="22">
        <f>sumkred</f>
        <v>37800</v>
      </c>
      <c r="C12" s="23">
        <f>B12*(PROC/36000)*(INT(DATE(YEAR(data),MONTH(data)+1,1)-data))</f>
        <v>219.45</v>
      </c>
      <c r="D12" s="24">
        <f>IF((B23-sumproplat)&gt;0,B23-sumproplat,0)</f>
        <v>30240</v>
      </c>
      <c r="E12" s="25">
        <f>D12*(PROC/36000)*(INT(DATE(YEAR(data),MONTH(data)+13,1)-DATE(YEAR(data),MONTH(data)+12,1)))</f>
        <v>277.2</v>
      </c>
      <c r="F12" s="22">
        <f>IF((D23-sumproplat)&gt;0,D23-sumproplat,0)</f>
        <v>22680</v>
      </c>
      <c r="G12" s="23">
        <f>F12*(PROC/36000)*(INT(DATE(YEAR(data),MONTH(data)+25,1)-DATE(YEAR(data),MONTH(data)+24,1)))</f>
        <v>207.89999999999998</v>
      </c>
      <c r="H12" s="24">
        <f>IF((F23-sumproplat)&gt;0,F23-sumproplat,0)</f>
        <v>15120</v>
      </c>
      <c r="I12" s="25">
        <f>H12*(PROC/36000)*(INT(DATE(YEAR(data),MONTH(data)+37,1)-DATE(YEAR(data),MONTH(data)+36,1)))</f>
        <v>138.6</v>
      </c>
      <c r="J12" s="22">
        <f>IF((H23-sumproplat)&gt;0,H23-sumproplat,0)</f>
        <v>7560</v>
      </c>
      <c r="K12" s="23">
        <f>J12*(PROC/36000)*(INT(DATE(YEAR(data),MONTH(data)+49,1)-DATE(YEAR(data),MONTH(data)+48,1)))</f>
        <v>69.3</v>
      </c>
      <c r="L12" s="22">
        <f>IF((J23-sumproplat)&gt;0,J23-sumproplat,0)</f>
        <v>0</v>
      </c>
      <c r="M12" s="23">
        <f>L12*(PROC/36000)*(INT(DATE(YEAR(data),MONTH(data)+61,1)-DATE(YEAR(data),MONTH(data)+60,1)))</f>
        <v>0</v>
      </c>
    </row>
    <row r="13" spans="1:13" ht="12.75">
      <c r="A13" s="20">
        <f>DATE(YEAR(data),MONTH(data)+1,DAY(data))</f>
        <v>38849</v>
      </c>
      <c r="B13" s="26">
        <f aca="true" t="shared" si="0" ref="B13:B23">IF((B12-sumproplat)&gt;0,B12-sumproplat,0)</f>
        <v>37170</v>
      </c>
      <c r="C13" s="27">
        <f>B13*(PROC/36000)*(INT(DATE(YEAR(data),MONTH(data)+2,1)-DATE(YEAR(data),MONTH(data)+1,1)))</f>
        <v>352.0825</v>
      </c>
      <c r="D13" s="28">
        <f>IF((D12-sumproplat)&gt;0,D12-sumproplat,0)</f>
        <v>29610</v>
      </c>
      <c r="E13" s="29">
        <f>D13*(PROC/36000)*(INT(DATE(YEAR(data),MONTH(data)+14,1)-DATE(YEAR(data),MONTH(data)+13,1)))</f>
        <v>280.47249999999997</v>
      </c>
      <c r="F13" s="26">
        <f>IF((F12-sumproplat)&gt;0,F12-sumproplat,0)</f>
        <v>22050</v>
      </c>
      <c r="G13" s="27">
        <f>F13*(PROC/36000)*(INT(DATE(YEAR(data),MONTH(data)+26,1)-DATE(YEAR(data),MONTH(data)+25,1)))</f>
        <v>208.86249999999998</v>
      </c>
      <c r="H13" s="28">
        <f>IF((H12-sumproplat)&gt;0,H12-sumproplat,0)</f>
        <v>14490</v>
      </c>
      <c r="I13" s="29">
        <f>H13*(PROC/36000)*(INT(DATE(YEAR(data),MONTH(data)+38,1)-DATE(YEAR(data),MONTH(data)+37,1)))</f>
        <v>137.2525</v>
      </c>
      <c r="J13" s="26">
        <f>IF((J12-sumproplat)&gt;0,J12-sumproplat,0)</f>
        <v>6930</v>
      </c>
      <c r="K13" s="27">
        <f>J13*(PROC/36000)*(INT(DATE(YEAR(data),MONTH(data)+50,1)-DATE(YEAR(data),MONTH(data)+49,1)))</f>
        <v>65.6425</v>
      </c>
      <c r="L13" s="26">
        <f>IF((L12-sumproplat)&gt;0,L12-sumproplat,0)</f>
        <v>0</v>
      </c>
      <c r="M13" s="27">
        <f>L13*(PROC/36000)*(INT(DATE(YEAR(data),MONTH(data)+62,1)-DATE(YEAR(data),MONTH(data)+61,1)))</f>
        <v>0</v>
      </c>
    </row>
    <row r="14" spans="1:13" ht="12.75">
      <c r="A14" s="20">
        <f>DATE(YEAR(data),MONTH(data)+2,DAY(data))</f>
        <v>38880</v>
      </c>
      <c r="B14" s="26">
        <f t="shared" si="0"/>
        <v>36540</v>
      </c>
      <c r="C14" s="27">
        <f>B14*(PROC/36000)*(INT(DATE(YEAR(data),MONTH(data)+3,1)-DATE(YEAR(data),MONTH(data)+2,1)))</f>
        <v>334.95</v>
      </c>
      <c r="D14" s="28">
        <f aca="true" t="shared" si="1" ref="D14:F23">IF((D13-sumproplat)&gt;0,D13-sumproplat,0)</f>
        <v>28980</v>
      </c>
      <c r="E14" s="29">
        <f>D14*(PROC/36000)*(INT(DATE(YEAR(data),MONTH(data)+15,1)-DATE(YEAR(data),MONTH(data)+14,1)))</f>
        <v>265.65000000000003</v>
      </c>
      <c r="F14" s="26">
        <f t="shared" si="1"/>
        <v>21420</v>
      </c>
      <c r="G14" s="27">
        <f>F14*(PROC/36000)*(INT(DATE(YEAR(data),MONTH(data)+27,1)-DATE(YEAR(data),MONTH(data)+26,1)))</f>
        <v>196.35</v>
      </c>
      <c r="H14" s="28">
        <f aca="true" t="shared" si="2" ref="H14:H23">IF((H13-sumproplat)&gt;0,H13-sumproplat,0)</f>
        <v>13860</v>
      </c>
      <c r="I14" s="29">
        <f>H14*(PROC/36000)*(INT(DATE(YEAR(data),MONTH(data)+39,1)-DATE(YEAR(data),MONTH(data)+38,1)))</f>
        <v>127.05000000000001</v>
      </c>
      <c r="J14" s="26">
        <f aca="true" t="shared" si="3" ref="J14:J23">IF((J13-sumproplat)&gt;0,J13-sumproplat,0)</f>
        <v>6300</v>
      </c>
      <c r="K14" s="27">
        <f>J14*(PROC/36000)*(INT(DATE(YEAR(data),MONTH(data)+51,1)-DATE(YEAR(data),MONTH(data)+50,1)))</f>
        <v>57.75</v>
      </c>
      <c r="L14" s="26">
        <f aca="true" t="shared" si="4" ref="L14:L23">IF((L13-sumproplat)&gt;0,L13-sumproplat,0)</f>
        <v>0</v>
      </c>
      <c r="M14" s="27">
        <f>L14*(PROC/36000)*(INT(DATE(YEAR(data),MONTH(data)+63,1)-DATE(YEAR(data),MONTH(data)+62,1)))</f>
        <v>0</v>
      </c>
    </row>
    <row r="15" spans="1:13" ht="12.75">
      <c r="A15" s="20">
        <f>DATE(YEAR(data),MONTH(data)+3,DAY(data))</f>
        <v>38910</v>
      </c>
      <c r="B15" s="26">
        <f t="shared" si="0"/>
        <v>35910</v>
      </c>
      <c r="C15" s="27">
        <f>B15*(PROC/36000)*(INT(DATE(YEAR(data),MONTH(data)+4,1)-DATE(YEAR(data),MONTH(data)+3,1)))</f>
        <v>340.1475</v>
      </c>
      <c r="D15" s="28">
        <f t="shared" si="1"/>
        <v>28350</v>
      </c>
      <c r="E15" s="29">
        <f>D15*(PROC/36000)*(INT(DATE(YEAR(data),MONTH(data)+16,1)-DATE(YEAR(data),MONTH(data)+15,1)))</f>
        <v>268.53749999999997</v>
      </c>
      <c r="F15" s="26">
        <f t="shared" si="1"/>
        <v>20790</v>
      </c>
      <c r="G15" s="27">
        <f>F15*(PROC/36000)*(INT(DATE(YEAR(data),MONTH(data)+28,1)-DATE(YEAR(data),MONTH(data)+27,1)))</f>
        <v>196.9275</v>
      </c>
      <c r="H15" s="28">
        <f t="shared" si="2"/>
        <v>13230</v>
      </c>
      <c r="I15" s="29">
        <f>H15*(PROC/36000)*(INT(DATE(YEAR(data),MONTH(data)+40,1)-DATE(YEAR(data),MONTH(data)+39,1)))</f>
        <v>125.31749999999998</v>
      </c>
      <c r="J15" s="26">
        <f t="shared" si="3"/>
        <v>5670</v>
      </c>
      <c r="K15" s="27">
        <f>J15*(PROC/36000)*(INT(DATE(YEAR(data),MONTH(data)+52,1)-DATE(YEAR(data),MONTH(data)+51,1)))</f>
        <v>53.707499999999996</v>
      </c>
      <c r="L15" s="26">
        <f t="shared" si="4"/>
        <v>0</v>
      </c>
      <c r="M15" s="27">
        <f>L15*(PROC/36000)*(INT(DATE(YEAR(data),MONTH(data)+64,1)-DATE(YEAR(data),MONTH(data)+63,1)))</f>
        <v>0</v>
      </c>
    </row>
    <row r="16" spans="1:13" ht="12.75">
      <c r="A16" s="20">
        <f>DATE(YEAR(data),MONTH(data)+4,DAY(data))</f>
        <v>38941</v>
      </c>
      <c r="B16" s="26">
        <f t="shared" si="0"/>
        <v>35280</v>
      </c>
      <c r="C16" s="27">
        <f>B16*(PROC/36000)*(INT(DATE(YEAR(data),MONTH(data)+5,1)-DATE(YEAR(data),MONTH(data)+4,1)))</f>
        <v>334.18</v>
      </c>
      <c r="D16" s="28">
        <f t="shared" si="1"/>
        <v>27720</v>
      </c>
      <c r="E16" s="29">
        <f>D16*(PROC/36000)*(INT(DATE(YEAR(data),MONTH(data)+17,1)-DATE(YEAR(data),MONTH(data)+16,1)))</f>
        <v>262.57</v>
      </c>
      <c r="F16" s="26">
        <f t="shared" si="1"/>
        <v>20160</v>
      </c>
      <c r="G16" s="27">
        <f>F16*(PROC/36000)*(INT(DATE(YEAR(data),MONTH(data)+29,1)-DATE(YEAR(data),MONTH(data)+28,1)))</f>
        <v>190.96</v>
      </c>
      <c r="H16" s="28">
        <f t="shared" si="2"/>
        <v>12600</v>
      </c>
      <c r="I16" s="29">
        <f>H16*(PROC/36000)*(INT(DATE(YEAR(data),MONTH(data)+41,1)-DATE(YEAR(data),MONTH(data)+40,1)))</f>
        <v>119.35000000000001</v>
      </c>
      <c r="J16" s="26">
        <f t="shared" si="3"/>
        <v>5040</v>
      </c>
      <c r="K16" s="27">
        <f>J16*(PROC/36000)*(INT(DATE(YEAR(data),MONTH(data)+53,1)-DATE(YEAR(data),MONTH(data)+52,1)))</f>
        <v>47.74</v>
      </c>
      <c r="L16" s="26">
        <f t="shared" si="4"/>
        <v>0</v>
      </c>
      <c r="M16" s="27">
        <f>L16*(PROC/36000)*(INT(DATE(YEAR(data),MONTH(data)+65,1)-DATE(YEAR(data),MONTH(data)+64,1)))</f>
        <v>0</v>
      </c>
    </row>
    <row r="17" spans="1:13" ht="12.75">
      <c r="A17" s="20">
        <f>DATE(YEAR(data),MONTH(data)+5,DAY(data))</f>
        <v>38972</v>
      </c>
      <c r="B17" s="26">
        <f t="shared" si="0"/>
        <v>34650</v>
      </c>
      <c r="C17" s="27">
        <f>B17*(PROC/36000)*(INT(DATE(YEAR(data),MONTH(data)+6,1)-DATE(YEAR(data),MONTH(data)+5,1)))</f>
        <v>317.625</v>
      </c>
      <c r="D17" s="28">
        <f t="shared" si="1"/>
        <v>27090</v>
      </c>
      <c r="E17" s="29">
        <f>D17*(PROC/36000)*(INT(DATE(YEAR(data),MONTH(data)+18,1)-DATE(YEAR(data),MONTH(data)+17,1)))</f>
        <v>248.325</v>
      </c>
      <c r="F17" s="26">
        <f t="shared" si="1"/>
        <v>19530</v>
      </c>
      <c r="G17" s="27">
        <f>F17*(PROC/36000)*(INT(DATE(YEAR(data),MONTH(data)+30,1)-DATE(YEAR(data),MONTH(data)+29,1)))</f>
        <v>179.025</v>
      </c>
      <c r="H17" s="28">
        <f t="shared" si="2"/>
        <v>11970</v>
      </c>
      <c r="I17" s="29">
        <f>H17*(PROC/36000)*(INT(DATE(YEAR(data),MONTH(data)+42,1)-DATE(YEAR(data),MONTH(data)+41,1)))</f>
        <v>109.725</v>
      </c>
      <c r="J17" s="26">
        <f t="shared" si="3"/>
        <v>4410</v>
      </c>
      <c r="K17" s="27">
        <f>J17*(PROC/36000)*(INT(DATE(YEAR(data),MONTH(data)+54,1)-DATE(YEAR(data),MONTH(data)+53,1)))</f>
        <v>40.425</v>
      </c>
      <c r="L17" s="26">
        <f t="shared" si="4"/>
        <v>0</v>
      </c>
      <c r="M17" s="27">
        <f>L17*(PROC/36000)*(INT(DATE(YEAR(data),MONTH(data)+66,1)-DATE(YEAR(data),MONTH(data)+65,1)))</f>
        <v>0</v>
      </c>
    </row>
    <row r="18" spans="1:13" ht="12.75">
      <c r="A18" s="20">
        <f>DATE(YEAR(data),MONTH(data)+6,DAY(data))</f>
        <v>39002</v>
      </c>
      <c r="B18" s="26">
        <f t="shared" si="0"/>
        <v>34020</v>
      </c>
      <c r="C18" s="27">
        <f>B18*(PROC/36000)*(INT(DATE(YEAR(data),MONTH(data)+7,1)-DATE(YEAR(data),MONTH(data)+6,1)))</f>
        <v>322.245</v>
      </c>
      <c r="D18" s="28">
        <f t="shared" si="1"/>
        <v>26460</v>
      </c>
      <c r="E18" s="29">
        <f>D18*(PROC/36000)*(INT(DATE(YEAR(data),MONTH(data)+19,1)-DATE(YEAR(data),MONTH(data)+18,1)))</f>
        <v>250.63499999999996</v>
      </c>
      <c r="F18" s="26">
        <f t="shared" si="1"/>
        <v>18900</v>
      </c>
      <c r="G18" s="27">
        <f>F18*(PROC/36000)*(INT(DATE(YEAR(data),MONTH(data)+31,1)-DATE(YEAR(data),MONTH(data)+30,1)))</f>
        <v>179.02499999999998</v>
      </c>
      <c r="H18" s="28">
        <f t="shared" si="2"/>
        <v>11340</v>
      </c>
      <c r="I18" s="29">
        <f>H18*(PROC/36000)*(INT(DATE(YEAR(data),MONTH(data)+43,1)-DATE(YEAR(data),MONTH(data)+42,1)))</f>
        <v>107.41499999999999</v>
      </c>
      <c r="J18" s="26">
        <f t="shared" si="3"/>
        <v>3780</v>
      </c>
      <c r="K18" s="27">
        <f>J18*(PROC/36000)*(INT(DATE(YEAR(data),MONTH(data)+55,1)-DATE(YEAR(data),MONTH(data)+54,1)))</f>
        <v>35.805</v>
      </c>
      <c r="L18" s="26">
        <f t="shared" si="4"/>
        <v>0</v>
      </c>
      <c r="M18" s="27">
        <f>L18*(PROC/36000)*(INT(DATE(YEAR(data),MONTH(data)+67,1)-DATE(YEAR(data),MONTH(data)+66,1)))</f>
        <v>0</v>
      </c>
    </row>
    <row r="19" spans="1:13" ht="12.75">
      <c r="A19" s="20">
        <f>DATE(YEAR(data),MONTH(data)+7,DAY(data))</f>
        <v>39033</v>
      </c>
      <c r="B19" s="26">
        <f t="shared" si="0"/>
        <v>33390</v>
      </c>
      <c r="C19" s="27">
        <f>B19*(PROC/36000)*(INT(DATE(YEAR(data),MONTH(data)+8,1)-DATE(YEAR(data),MONTH(data)+7,1)))</f>
        <v>306.07500000000005</v>
      </c>
      <c r="D19" s="28">
        <f t="shared" si="1"/>
        <v>25830</v>
      </c>
      <c r="E19" s="29">
        <f>D19*(PROC/36000)*(INT(DATE(YEAR(data),MONTH(data)+20,1)-DATE(YEAR(data),MONTH(data)+19,1)))</f>
        <v>236.775</v>
      </c>
      <c r="F19" s="26">
        <f t="shared" si="1"/>
        <v>18270</v>
      </c>
      <c r="G19" s="27">
        <f>F19*(PROC/36000)*(INT(DATE(YEAR(data),MONTH(data)+32,1)-DATE(YEAR(data),MONTH(data)+31,1)))</f>
        <v>167.475</v>
      </c>
      <c r="H19" s="28">
        <f t="shared" si="2"/>
        <v>10710</v>
      </c>
      <c r="I19" s="29">
        <f>H19*(PROC/36000)*(INT(DATE(YEAR(data),MONTH(data)+44,1)-DATE(YEAR(data),MONTH(data)+43,1)))</f>
        <v>98.175</v>
      </c>
      <c r="J19" s="26">
        <f t="shared" si="3"/>
        <v>3150</v>
      </c>
      <c r="K19" s="27">
        <f>J19*(PROC/36000)*(INT(DATE(YEAR(data),MONTH(data)+56,1)-DATE(YEAR(data),MONTH(data)+55,1)))</f>
        <v>28.875</v>
      </c>
      <c r="L19" s="26">
        <f t="shared" si="4"/>
        <v>0</v>
      </c>
      <c r="M19" s="27">
        <f>L19*(PROC/36000)*(INT(DATE(YEAR(data),MONTH(data)+68,1)-DATE(YEAR(data),MONTH(data)+67,1)))</f>
        <v>0</v>
      </c>
    </row>
    <row r="20" spans="1:13" ht="12.75">
      <c r="A20" s="20">
        <f>DATE(YEAR(data),MONTH(data)+8,DAY(data))</f>
        <v>39063</v>
      </c>
      <c r="B20" s="26">
        <f t="shared" si="0"/>
        <v>32760</v>
      </c>
      <c r="C20" s="27">
        <f>B20*(PROC/36000)*(INT(DATE(YEAR(data),MONTH(data)+9,1)-DATE(YEAR(data),MONTH(data)+8,1)))</f>
        <v>310.31</v>
      </c>
      <c r="D20" s="28">
        <f t="shared" si="1"/>
        <v>25200</v>
      </c>
      <c r="E20" s="29">
        <f>D20*(PROC/36000)*(INT(DATE(YEAR(data),MONTH(data)+21,1)-DATE(YEAR(data),MONTH(data)+20,1)))</f>
        <v>238.70000000000002</v>
      </c>
      <c r="F20" s="26">
        <f t="shared" si="1"/>
        <v>17640</v>
      </c>
      <c r="G20" s="27">
        <f>F20*(PROC/36000)*(INT(DATE(YEAR(data),MONTH(data)+33,1)-DATE(YEAR(data),MONTH(data)+32,1)))</f>
        <v>167.09</v>
      </c>
      <c r="H20" s="28">
        <f t="shared" si="2"/>
        <v>10080</v>
      </c>
      <c r="I20" s="29">
        <f>H20*(PROC/36000)*(INT(DATE(YEAR(data),MONTH(data)+45,1)-DATE(YEAR(data),MONTH(data)+44,1)))</f>
        <v>95.48</v>
      </c>
      <c r="J20" s="26">
        <f t="shared" si="3"/>
        <v>2520</v>
      </c>
      <c r="K20" s="27">
        <f>J20*(PROC/36000)*(INT(DATE(YEAR(data),MONTH(data)+57,1)-DATE(YEAR(data),MONTH(data)+56,1)))</f>
        <v>23.87</v>
      </c>
      <c r="L20" s="26">
        <f t="shared" si="4"/>
        <v>0</v>
      </c>
      <c r="M20" s="27">
        <f>L20*(PROC/36000)*(INT(DATE(YEAR(data),MONTH(data)+69,1)-DATE(YEAR(data),MONTH(data)+68,1)))</f>
        <v>0</v>
      </c>
    </row>
    <row r="21" spans="1:13" ht="12.75">
      <c r="A21" s="20">
        <f>DATE(YEAR(data),MONTH(data)+9,DAY(data))</f>
        <v>39094</v>
      </c>
      <c r="B21" s="26">
        <f t="shared" si="0"/>
        <v>32130</v>
      </c>
      <c r="C21" s="27">
        <f>B21*(PROC/36000)*(INT(DATE(YEAR(data),MONTH(data)+10,1)-DATE(YEAR(data),MONTH(data)+9,1)))</f>
        <v>304.3425</v>
      </c>
      <c r="D21" s="28">
        <f t="shared" si="1"/>
        <v>24570</v>
      </c>
      <c r="E21" s="29">
        <f>D21*(PROC/36000)*(INT(DATE(YEAR(data),MONTH(data)+22,1)-DATE(YEAR(data),MONTH(data)+21,1)))</f>
        <v>232.73250000000002</v>
      </c>
      <c r="F21" s="26">
        <f t="shared" si="1"/>
        <v>17010</v>
      </c>
      <c r="G21" s="27">
        <f>F21*(PROC/36000)*(INT(DATE(YEAR(data),MONTH(data)+34,1)-DATE(YEAR(data),MONTH(data)+33,1)))</f>
        <v>161.1225</v>
      </c>
      <c r="H21" s="28">
        <f t="shared" si="2"/>
        <v>9450</v>
      </c>
      <c r="I21" s="29">
        <f>H21*(PROC/36000)*(INT(DATE(YEAR(data),MONTH(data)+46,1)-DATE(YEAR(data),MONTH(data)+45,1)))</f>
        <v>89.51249999999999</v>
      </c>
      <c r="J21" s="26">
        <f t="shared" si="3"/>
        <v>1890</v>
      </c>
      <c r="K21" s="27">
        <f>J21*(PROC/36000)*(INT(DATE(YEAR(data),MONTH(data)+58,1)-DATE(YEAR(data),MONTH(data)+57,1)))</f>
        <v>17.9025</v>
      </c>
      <c r="L21" s="26">
        <f t="shared" si="4"/>
        <v>0</v>
      </c>
      <c r="M21" s="27">
        <f>L21*(PROC/36000)*(INT(DATE(YEAR(data),MONTH(data)+70,1)-DATE(YEAR(data),MONTH(data)+69,1)))</f>
        <v>0</v>
      </c>
    </row>
    <row r="22" spans="1:13" ht="12.75">
      <c r="A22" s="20">
        <f>DATE(YEAR(data),MONTH(data)+10,DAY(data))</f>
        <v>39125</v>
      </c>
      <c r="B22" s="26">
        <f t="shared" si="0"/>
        <v>31500</v>
      </c>
      <c r="C22" s="27">
        <f>B22*(PROC/36000)*(INT(DATE(YEAR(data),MONTH(data)+11,1)-DATE(YEAR(data),MONTH(data)+10,1)))</f>
        <v>269.5</v>
      </c>
      <c r="D22" s="28">
        <f t="shared" si="1"/>
        <v>23940</v>
      </c>
      <c r="E22" s="29">
        <f>D22*(PROC/36000)*(INT(DATE(YEAR(data),MONTH(data)+23,1)-DATE(YEAR(data),MONTH(data)+22,1)))</f>
        <v>212.135</v>
      </c>
      <c r="F22" s="26">
        <f t="shared" si="1"/>
        <v>16380</v>
      </c>
      <c r="G22" s="27">
        <f>F22*(PROC/36000)*(INT(DATE(YEAR(data),MONTH(data)+35,1)-DATE(YEAR(data),MONTH(data)+34,1)))</f>
        <v>140.14</v>
      </c>
      <c r="H22" s="28">
        <f t="shared" si="2"/>
        <v>8820</v>
      </c>
      <c r="I22" s="29">
        <f>H22*(PROC/36000)*(INT(DATE(YEAR(data),MONTH(data)+47,1)-DATE(YEAR(data),MONTH(data)+46,1)))</f>
        <v>75.46</v>
      </c>
      <c r="J22" s="26">
        <f t="shared" si="3"/>
        <v>1260</v>
      </c>
      <c r="K22" s="27">
        <f>J22*(PROC/36000)*(INT(DATE(YEAR(data),MONTH(data)+59,1)-DATE(YEAR(data),MONTH(data)+58,1)))</f>
        <v>10.780000000000001</v>
      </c>
      <c r="L22" s="26">
        <f t="shared" si="4"/>
        <v>0</v>
      </c>
      <c r="M22" s="27">
        <f>L22*(PROC/36000)*(INT(DATE(YEAR(data),MONTH(data)+71,1)-DATE(YEAR(data),MONTH(data)+70,1)))</f>
        <v>0</v>
      </c>
    </row>
    <row r="23" spans="1:13" ht="13.5" thickBot="1">
      <c r="A23" s="21">
        <f>DATE(YEAR(data),MONTH(data)+11,DAY(data))</f>
        <v>39153</v>
      </c>
      <c r="B23" s="30">
        <f t="shared" si="0"/>
        <v>30870</v>
      </c>
      <c r="C23" s="31">
        <f>B23*(PROC/36000)*(INT(DATE(YEAR(data),MONTH(data)+12,1)-DATE(YEAR(data),MONTH(data)+11,1)))</f>
        <v>292.40749999999997</v>
      </c>
      <c r="D23" s="32">
        <f t="shared" si="1"/>
        <v>23310</v>
      </c>
      <c r="E23" s="33">
        <f>D23*(PROC/36000)*(INT(DATE(YEAR(data),MONTH(data)+24,1)-DATE(YEAR(data),MONTH(data)+23,1)))</f>
        <v>220.79749999999999</v>
      </c>
      <c r="F23" s="30">
        <f t="shared" si="1"/>
        <v>15750</v>
      </c>
      <c r="G23" s="31">
        <f>F23*(PROC/36000)*(INT(DATE(YEAR(data),MONTH(data)+36,1)-DATE(YEAR(data),MONTH(data)+35,1)))</f>
        <v>149.1875</v>
      </c>
      <c r="H23" s="32">
        <f t="shared" si="2"/>
        <v>8190</v>
      </c>
      <c r="I23" s="33">
        <f>H23*(PROC/36000)*(INT(DATE(YEAR(data),MONTH(data)+48,1)-DATE(YEAR(data),MONTH(data)+47,1)))</f>
        <v>77.5775</v>
      </c>
      <c r="J23" s="30">
        <f t="shared" si="3"/>
        <v>630</v>
      </c>
      <c r="K23" s="31">
        <f>J23*(PROC/36000)*(INT(DATE(YEAR(data),MONTH(data)+60,1)-DATE(YEAR(data),MONTH(data)+59,1)))</f>
        <v>5.9675</v>
      </c>
      <c r="L23" s="30">
        <f t="shared" si="4"/>
        <v>0</v>
      </c>
      <c r="M23" s="31">
        <f>L23*(PROC/36000)*(INT(DATE(YEAR(data),MONTH(data)+72,1)-DATE(YEAR(data),MONTH(data)+71,1)))</f>
        <v>0</v>
      </c>
    </row>
    <row r="24" spans="1:13" ht="14.25" thickBot="1" thickTop="1">
      <c r="A24" s="18" t="s">
        <v>3</v>
      </c>
      <c r="B24" s="12"/>
      <c r="C24" s="13">
        <f>SUM(C12:C23)</f>
        <v>3703.315</v>
      </c>
      <c r="D24" s="11"/>
      <c r="E24" s="14">
        <f>SUM(E12:E23)</f>
        <v>2994.53</v>
      </c>
      <c r="F24" s="12"/>
      <c r="G24" s="3">
        <f>SUM(G12:G23)</f>
        <v>2144.065</v>
      </c>
      <c r="H24" s="15"/>
      <c r="I24" s="16">
        <f>SUM(I12:I23)</f>
        <v>1300.915</v>
      </c>
      <c r="J24" s="17"/>
      <c r="K24" s="3">
        <f>SUM(K12:K23)</f>
        <v>457.765</v>
      </c>
      <c r="L24" s="17"/>
      <c r="M24" s="3">
        <f>SUM(M12:M23)</f>
        <v>0</v>
      </c>
    </row>
    <row r="25" spans="1:12" ht="9" customHeight="1">
      <c r="A25" s="2"/>
      <c r="B25" s="2"/>
      <c r="C25" s="1"/>
      <c r="D25" s="1"/>
      <c r="E25" s="1"/>
      <c r="F25" s="1"/>
      <c r="G25" s="9"/>
      <c r="H25" s="9"/>
      <c r="I25" s="9"/>
      <c r="J25" s="9"/>
      <c r="L25" s="1"/>
    </row>
    <row r="26" ht="12.75"/>
    <row r="27" ht="12.75"/>
    <row r="28" spans="1:12" ht="12.75" customHeight="1">
      <c r="A28" s="114" t="s">
        <v>14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"/>
    </row>
    <row r="29" spans="1:12" ht="12.75">
      <c r="A29" s="115"/>
      <c r="B29" s="115"/>
      <c r="C29" s="115"/>
      <c r="D29" s="115"/>
      <c r="E29" s="115"/>
      <c r="F29" s="115"/>
      <c r="G29" s="115"/>
      <c r="H29" s="44"/>
      <c r="I29" s="45"/>
      <c r="J29" s="45"/>
      <c r="L29" s="1"/>
    </row>
    <row r="30" spans="1:10" ht="12.75" customHeight="1" thickBot="1">
      <c r="A30" s="46" t="s">
        <v>25</v>
      </c>
      <c r="B30" s="47"/>
      <c r="C30" s="48"/>
      <c r="D30" s="47"/>
      <c r="E30" s="49"/>
      <c r="F30" s="49"/>
      <c r="G30" s="10"/>
      <c r="H30" s="10"/>
      <c r="I30" s="10"/>
      <c r="J30" s="50"/>
    </row>
    <row r="31" spans="1:13" ht="15.75" customHeight="1" thickBot="1" thickTop="1">
      <c r="A31" s="109" t="s">
        <v>15</v>
      </c>
      <c r="B31" s="116"/>
      <c r="C31" s="78">
        <v>4.3</v>
      </c>
      <c r="D31" s="79"/>
      <c r="E31" s="53"/>
      <c r="F31" s="53"/>
      <c r="G31" s="80"/>
      <c r="H31" s="117">
        <f>IF(A9=1,stoimost*C31/100*C48,IF(A9=2,stoimost*C31/100,stoimost*C31/100*C49))</f>
        <v>11040.123150000001</v>
      </c>
      <c r="I31" s="113"/>
      <c r="J31" s="54"/>
      <c r="K31" s="8"/>
      <c r="L31" s="8"/>
      <c r="M31" s="1"/>
    </row>
    <row r="32" spans="1:10" ht="12.75" customHeight="1" hidden="1" thickTop="1">
      <c r="A32" s="55"/>
      <c r="B32" s="55"/>
      <c r="C32" s="56"/>
      <c r="D32" s="57"/>
      <c r="E32" s="58"/>
      <c r="F32" s="58"/>
      <c r="G32" s="50"/>
      <c r="H32" s="54"/>
      <c r="I32" s="107"/>
      <c r="J32" s="107"/>
    </row>
    <row r="33" spans="2:10" ht="12.75" customHeight="1" hidden="1">
      <c r="B33" s="59"/>
      <c r="C33" s="108"/>
      <c r="D33" s="108"/>
      <c r="E33" s="60"/>
      <c r="F33" s="60"/>
      <c r="G33" s="50"/>
      <c r="H33" s="54"/>
      <c r="I33" s="54"/>
      <c r="J33" s="54"/>
    </row>
    <row r="34" spans="1:13" ht="12.75" customHeight="1">
      <c r="A34" s="49"/>
      <c r="B34" s="49"/>
      <c r="C34" s="49"/>
      <c r="D34" s="49"/>
      <c r="E34" s="49"/>
      <c r="F34" s="49"/>
      <c r="H34" s="61"/>
      <c r="I34" s="61"/>
      <c r="J34" s="61"/>
      <c r="K34" s="8"/>
      <c r="L34" s="8"/>
      <c r="M34" s="1"/>
    </row>
    <row r="35" spans="1:13" ht="12.75" customHeight="1" thickBot="1">
      <c r="A35" s="46" t="s">
        <v>16</v>
      </c>
      <c r="B35" s="47"/>
      <c r="C35" s="47"/>
      <c r="D35" s="47"/>
      <c r="E35" s="49"/>
      <c r="F35" s="49"/>
      <c r="G35" s="10"/>
      <c r="H35" s="62"/>
      <c r="I35" s="62"/>
      <c r="J35" s="61"/>
      <c r="K35" s="8"/>
      <c r="L35" s="8"/>
      <c r="M35" s="1"/>
    </row>
    <row r="36" spans="1:13" ht="19.5" customHeight="1" thickBot="1" thickTop="1">
      <c r="A36" s="109" t="s">
        <v>17</v>
      </c>
      <c r="B36" s="110"/>
      <c r="C36" s="110"/>
      <c r="D36" s="111"/>
      <c r="E36" s="51">
        <v>240</v>
      </c>
      <c r="F36" s="52"/>
      <c r="G36" s="63"/>
      <c r="H36" s="112">
        <f>IF(A9=1,stoimost*0.1%*C48+E36,IF(A9=2,stoimost*0.1%+E36,stoimost*0.1%*C49+E36))</f>
        <v>496.74705</v>
      </c>
      <c r="I36" s="113"/>
      <c r="J36" s="61"/>
      <c r="K36" s="8"/>
      <c r="L36" s="8"/>
      <c r="M36" s="1"/>
    </row>
    <row r="37" spans="1:10" ht="13.5" thickTop="1">
      <c r="A37" s="49"/>
      <c r="B37" s="49"/>
      <c r="C37" s="49"/>
      <c r="D37" s="64"/>
      <c r="E37" s="65"/>
      <c r="F37" s="66"/>
      <c r="G37" s="67"/>
      <c r="H37" s="62"/>
      <c r="I37" s="62"/>
      <c r="J37" s="61"/>
    </row>
    <row r="38" spans="1:13" s="59" customFormat="1" ht="14.25" thickBot="1">
      <c r="A38" s="95" t="s">
        <v>18</v>
      </c>
      <c r="B38" s="95"/>
      <c r="C38" s="95"/>
      <c r="D38" s="95"/>
      <c r="E38" s="49"/>
      <c r="F38" s="49"/>
      <c r="G38" s="10"/>
      <c r="H38" s="62"/>
      <c r="I38" s="62"/>
      <c r="J38" s="61"/>
      <c r="K38" s="50"/>
      <c r="L38" s="50"/>
      <c r="M38" s="50"/>
    </row>
    <row r="39" spans="1:13" s="59" customFormat="1" ht="17.25" thickBot="1" thickTop="1">
      <c r="A39" s="103" t="s">
        <v>23</v>
      </c>
      <c r="B39" s="101"/>
      <c r="C39" s="101"/>
      <c r="D39" s="104"/>
      <c r="E39" s="75">
        <v>0.2</v>
      </c>
      <c r="F39" s="76"/>
      <c r="G39" s="77"/>
      <c r="H39" s="96">
        <f>IF(A9=1,sumkred*E39/100*C48,IF(A9=2,sumkred*E39/100,sumkred*E39/100*C49))</f>
        <v>462.14468999999997</v>
      </c>
      <c r="I39" s="97"/>
      <c r="J39" s="61"/>
      <c r="K39" s="50"/>
      <c r="L39" s="50"/>
      <c r="M39" s="50"/>
    </row>
    <row r="40" spans="1:10" ht="40.5" customHeight="1" thickBot="1">
      <c r="A40" s="100" t="s">
        <v>21</v>
      </c>
      <c r="B40" s="101"/>
      <c r="C40" s="101"/>
      <c r="D40" s="101"/>
      <c r="E40" s="101"/>
      <c r="F40" s="101"/>
      <c r="G40" s="102"/>
      <c r="H40" s="98">
        <v>105</v>
      </c>
      <c r="I40" s="99"/>
      <c r="J40" s="61"/>
    </row>
    <row r="41" spans="1:10" ht="12.75" hidden="1">
      <c r="A41" s="49"/>
      <c r="B41" s="49"/>
      <c r="C41" s="49"/>
      <c r="D41" s="64"/>
      <c r="E41" s="49"/>
      <c r="F41" s="64"/>
      <c r="G41" s="74"/>
      <c r="H41" s="61"/>
      <c r="I41" s="61"/>
      <c r="J41" s="61"/>
    </row>
    <row r="42" spans="1:10" ht="27.75" customHeight="1">
      <c r="A42" s="105" t="s">
        <v>24</v>
      </c>
      <c r="B42" s="106"/>
      <c r="C42" s="106"/>
      <c r="D42" s="106"/>
      <c r="E42" s="106"/>
      <c r="F42" s="106"/>
      <c r="G42" s="106"/>
      <c r="H42" s="92">
        <f>IF(A9=1,avans*C48+H36+H39+H40+H31,IF(A9=2,avans+H31+H36+H39+H40,avans*C49+H31+H36+H39+H40))</f>
        <v>37778.71989</v>
      </c>
      <c r="I42" s="92"/>
      <c r="J42" s="61"/>
    </row>
    <row r="43" spans="1:13" ht="12.75">
      <c r="A43" s="49"/>
      <c r="B43" s="49"/>
      <c r="C43" s="49"/>
      <c r="D43" s="49"/>
      <c r="E43" s="49"/>
      <c r="F43" s="49"/>
      <c r="G43" s="10"/>
      <c r="H43" s="10"/>
      <c r="I43" s="10"/>
      <c r="K43" s="8"/>
      <c r="L43" s="8"/>
      <c r="M43" s="1"/>
    </row>
    <row r="44" spans="1:13" ht="12.75">
      <c r="A44" s="49"/>
      <c r="B44" s="49"/>
      <c r="C44" s="49"/>
      <c r="D44" s="49"/>
      <c r="E44" s="49"/>
      <c r="F44" s="49"/>
      <c r="G44" s="10"/>
      <c r="H44" s="10"/>
      <c r="I44" s="10"/>
      <c r="K44" s="8"/>
      <c r="L44" s="8"/>
      <c r="M44" s="1"/>
    </row>
    <row r="45" spans="1:10" ht="12.75">
      <c r="A45" s="68"/>
      <c r="B45" s="68"/>
      <c r="C45" s="93"/>
      <c r="D45" s="93"/>
      <c r="E45" s="93"/>
      <c r="F45" s="1"/>
      <c r="H45" s="94"/>
      <c r="I45" s="94"/>
      <c r="J45" s="94"/>
    </row>
    <row r="46" spans="1:11" ht="12.75" customHeight="1">
      <c r="A46" s="85" t="s">
        <v>22</v>
      </c>
      <c r="B46" s="85"/>
      <c r="C46" s="86"/>
      <c r="D46" s="86"/>
      <c r="E46" s="86"/>
      <c r="F46" s="86"/>
      <c r="G46" s="86"/>
      <c r="H46" s="87"/>
      <c r="I46" s="87"/>
      <c r="J46" s="87"/>
      <c r="K46"/>
    </row>
    <row r="47" spans="1:11" ht="12.75" customHeight="1" thickBot="1">
      <c r="A47" s="88">
        <v>38819</v>
      </c>
      <c r="B47" s="89"/>
      <c r="C47" s="86"/>
      <c r="D47" s="86"/>
      <c r="E47" s="86"/>
      <c r="F47" s="86"/>
      <c r="G47" s="86"/>
      <c r="H47" s="87"/>
      <c r="I47" s="87"/>
      <c r="J47" s="87"/>
      <c r="K47" s="8"/>
    </row>
    <row r="48" spans="1:11" ht="14.25" thickBot="1" thickTop="1">
      <c r="A48" s="90" t="s">
        <v>19</v>
      </c>
      <c r="B48" s="91"/>
      <c r="C48" s="81">
        <v>5.05</v>
      </c>
      <c r="D48" s="69"/>
      <c r="E48" s="70"/>
      <c r="F48" s="70"/>
      <c r="G48" s="70"/>
      <c r="H48" s="87"/>
      <c r="I48" s="87"/>
      <c r="J48" s="87"/>
      <c r="K48" s="8"/>
    </row>
    <row r="49" spans="1:11" ht="14.25" thickBot="1" thickTop="1">
      <c r="A49" s="71" t="s">
        <v>20</v>
      </c>
      <c r="B49" s="72"/>
      <c r="C49" s="82">
        <v>6.113025</v>
      </c>
      <c r="D49" s="70"/>
      <c r="E49" s="70"/>
      <c r="F49" s="70"/>
      <c r="G49" s="70"/>
      <c r="H49" s="73"/>
      <c r="I49" s="73"/>
      <c r="K49" s="8"/>
    </row>
    <row r="50" spans="1:11" ht="12.75">
      <c r="A50" s="83"/>
      <c r="B50" s="83"/>
      <c r="C50" s="84"/>
      <c r="D50" s="84"/>
      <c r="E50" s="84"/>
      <c r="F50" s="84"/>
      <c r="G50" s="84"/>
      <c r="K50" s="8"/>
    </row>
    <row r="51" ht="12.75" hidden="1"/>
    <row r="52" ht="12.75" hidden="1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formatCells="0" formatColumns="0" formatRows="0" insertColumns="0" insertRows="0" insertHyperlinks="0" deleteColumns="0" deleteRows="0" sort="0" autoFilter="0" pivotTables="0"/>
  <mergeCells count="51">
    <mergeCell ref="L10:M10"/>
    <mergeCell ref="H3:K3"/>
    <mergeCell ref="H6:K6"/>
    <mergeCell ref="H4:K4"/>
    <mergeCell ref="H5:K5"/>
    <mergeCell ref="I9:K9"/>
    <mergeCell ref="J10:K10"/>
    <mergeCell ref="H10:I10"/>
    <mergeCell ref="A5:E5"/>
    <mergeCell ref="A6:E6"/>
    <mergeCell ref="F5:G5"/>
    <mergeCell ref="A10:A11"/>
    <mergeCell ref="F8:G8"/>
    <mergeCell ref="B10:C10"/>
    <mergeCell ref="F10:G10"/>
    <mergeCell ref="D10:E10"/>
    <mergeCell ref="F2:G2"/>
    <mergeCell ref="A7:E7"/>
    <mergeCell ref="A8:E8"/>
    <mergeCell ref="F3:G3"/>
    <mergeCell ref="F4:G4"/>
    <mergeCell ref="F6:G6"/>
    <mergeCell ref="F7:G7"/>
    <mergeCell ref="A3:D3"/>
    <mergeCell ref="A4:D4"/>
    <mergeCell ref="A2:E2"/>
    <mergeCell ref="A28:K28"/>
    <mergeCell ref="A29:G29"/>
    <mergeCell ref="A31:B31"/>
    <mergeCell ref="H31:I31"/>
    <mergeCell ref="I32:J32"/>
    <mergeCell ref="C33:D33"/>
    <mergeCell ref="A36:D36"/>
    <mergeCell ref="H36:I36"/>
    <mergeCell ref="H42:I42"/>
    <mergeCell ref="C45:E45"/>
    <mergeCell ref="H45:J45"/>
    <mergeCell ref="A38:D38"/>
    <mergeCell ref="H39:I39"/>
    <mergeCell ref="H40:I40"/>
    <mergeCell ref="A40:G40"/>
    <mergeCell ref="A39:D39"/>
    <mergeCell ref="A42:G42"/>
    <mergeCell ref="H46:J48"/>
    <mergeCell ref="A47:B47"/>
    <mergeCell ref="C47:G47"/>
    <mergeCell ref="A48:B48"/>
    <mergeCell ref="A50:B50"/>
    <mergeCell ref="C50:G50"/>
    <mergeCell ref="A46:B46"/>
    <mergeCell ref="C46:G46"/>
  </mergeCells>
  <hyperlinks>
    <hyperlink ref="H4" r:id="rId1" display="http://usb.com.ua/"/>
  </hyperlinks>
  <printOptions/>
  <pageMargins left="0.52" right="0.22" top="1.1" bottom="0.26" header="0.35433070866141736" footer="0.21"/>
  <pageSetup fitToHeight="100" fitToWidth="1" horizontalDpi="1200" verticalDpi="1200" orientation="portrait" paperSize="9" scale="83" r:id="rId5"/>
  <headerFooter alignWithMargins="0">
    <oddHeader>&amp;C&amp;"Bookman Old Style,полужирный"&amp;12КИЕВСКИЙ ГОРОДСКОЙ ФИЛИАЛ АКБ "УКРСОЦБАНК"&amp;"Courier New,обычный"&amp;10&amp;E
&amp;"Century,обычный"&amp;12&amp;E г. Киев, ул. Жилянская, 9-11, тел. 205-31-3.</oddHeader>
    <oddFooter>&amp;C&amp;"Bookman Old Style,полужирный"&amp;12Грамотное решение практичного человека !</oddFooter>
  </headerFooter>
  <drawing r:id="rId4"/>
  <legacyDrawing r:id="rId3"/>
  <oleObjects>
    <oleObject progId="Word.Picture.8" shapeId="2550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контора Укрсоцбанк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расчета платежей по кредиту</dc:title>
  <dc:subject>Автомобиль в кредит</dc:subject>
  <dc:creator>Дмитренко Олег</dc:creator>
  <cp:keywords/>
  <dc:description/>
  <cp:lastModifiedBy>Postrigan Vadim</cp:lastModifiedBy>
  <cp:lastPrinted>2006-03-24T16:26:11Z</cp:lastPrinted>
  <dcterms:created xsi:type="dcterms:W3CDTF">2001-02-06T09:35:51Z</dcterms:created>
  <dcterms:modified xsi:type="dcterms:W3CDTF">2006-05-15T09:56:13Z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-1407785466</vt:i4>
  </property>
  <property fmtid="{D5CDD505-2E9C-101B-9397-08002B2CF9AE}" pid="3" name="_EmailSubject">
    <vt:lpwstr>сайт мерседес</vt:lpwstr>
  </property>
  <property fmtid="{D5CDD505-2E9C-101B-9397-08002B2CF9AE}" pid="4" name="_AuthorEmail">
    <vt:lpwstr>tanya.bilych@mercedes-benz.ua</vt:lpwstr>
  </property>
  <property fmtid="{D5CDD505-2E9C-101B-9397-08002B2CF9AE}" pid="5" name="_AuthorEmailDisplayName">
    <vt:lpwstr>Tanya Bilych</vt:lpwstr>
  </property>
</Properties>
</file>